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65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<sst xmlns="http://schemas.openxmlformats.org/spreadsheetml/2006/main" count="77" uniqueCount="47">
  <si>
    <t>Length ft</t>
  </si>
  <si>
    <t>Breadth</t>
  </si>
  <si>
    <t>Draft</t>
  </si>
  <si>
    <t>Units</t>
  </si>
  <si>
    <t>Draft cost</t>
  </si>
  <si>
    <t>Unit Cost</t>
  </si>
  <si>
    <t>Pilotage Fee</t>
  </si>
  <si>
    <t>Units Range</t>
  </si>
  <si>
    <t>Cost/Unit</t>
  </si>
  <si>
    <t>Unit cost</t>
  </si>
  <si>
    <t>0-200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</si>
  <si>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</si>
  <si>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</si>
  <si>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</si>
  <si>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</si>
  <si>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</si>
  <si>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</si>
  <si>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</si>
  <si>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</si>
  <si>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1001-1050</t>
  </si>
  <si>
    <t>1051-1100</t>
  </si>
  <si>
    <t>1101-1150</t>
  </si>
  <si>
    <t>1151-1200</t>
  </si>
  <si>
    <t>1201-1250</t>
  </si>
  <si>
    <t>1251-1300</t>
  </si>
  <si>
    <t>1301-1350</t>
  </si>
  <si>
    <t>1351-1400</t>
  </si>
  <si>
    <t>1401-1450</t>
  </si>
  <si>
    <t>1451-1500</t>
  </si>
  <si>
    <t>1501-1550</t>
  </si>
  <si>
    <t>NW GULF FEDERAL PILOTS SERVICE CALCULATIONS (CALCASIEU SHIP CH.)</t>
  </si>
  <si>
    <t>Instructions: In step 1, amber colored boxes mark 3 input values - you type in numeric information.</t>
  </si>
  <si>
    <t>TO/FROM PORT OF CAMERON</t>
  </si>
  <si>
    <t>TO/FROM LAKE CHARLES</t>
  </si>
  <si>
    <r>
      <rPr>
        <b/>
        <u val="single"/>
        <sz val="11"/>
        <color indexed="8"/>
        <rFont val="Calibri"/>
        <family val="2"/>
      </rPr>
      <t>DRAFT COST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in addition to the </t>
    </r>
    <r>
      <rPr>
        <b/>
        <u val="single"/>
        <sz val="11"/>
        <color indexed="8"/>
        <rFont val="Calibri"/>
        <family val="2"/>
      </rPr>
      <t>Unit Cost</t>
    </r>
    <r>
      <rPr>
        <sz val="11"/>
        <color theme="1"/>
        <rFont val="Calibri"/>
        <family val="2"/>
      </rPr>
      <t xml:space="preserve"> equals the total </t>
    </r>
    <r>
      <rPr>
        <b/>
        <u val="single"/>
        <sz val="11"/>
        <color indexed="8"/>
        <rFont val="Calibri"/>
        <family val="2"/>
      </rPr>
      <t>PILOTAGE FEE</t>
    </r>
    <r>
      <rPr>
        <sz val="11"/>
        <color theme="1"/>
        <rFont val="Calibri"/>
        <family val="2"/>
      </rPr>
      <t>.</t>
    </r>
  </si>
  <si>
    <r>
      <rPr>
        <b/>
        <u val="single"/>
        <sz val="11"/>
        <color indexed="8"/>
        <rFont val="Calibri"/>
        <family val="2"/>
      </rPr>
      <t>UNIT COST</t>
    </r>
    <r>
      <rPr>
        <sz val="11"/>
        <color theme="1"/>
        <rFont val="Calibri"/>
        <family val="2"/>
      </rPr>
      <t xml:space="preserve"> is units multiplied by cost/unit.</t>
    </r>
  </si>
  <si>
    <t>Note: Apply your actual draft charges for Port of Cameron.  I.e., no minimum draft charge.</t>
  </si>
  <si>
    <t xml:space="preserve"> </t>
  </si>
  <si>
    <t>Note: minimum draft is 20 feet to Lake Charles.</t>
  </si>
  <si>
    <t>Example: A ship's length of 265 ft and Breadth of 60 ft is 159 units.  Vessel draft is 20 ft.  Total pilotage fee is $741.18</t>
  </si>
  <si>
    <t>0-500</t>
  </si>
  <si>
    <t>500-1000</t>
  </si>
  <si>
    <t>1000-2000</t>
  </si>
  <si>
    <r>
      <rPr>
        <b/>
        <u val="single"/>
        <sz val="11"/>
        <color indexed="8"/>
        <rFont val="Calibri"/>
        <family val="2"/>
      </rPr>
      <t>DRAFT COST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PER FOOT IS $49.11 - to Lake Charles.</t>
    </r>
  </si>
  <si>
    <t>Example: A ship's length of 265 ft and Breadth of 60 ft is 159 units.  Vessel draft is 20 ft.  Total pilotage fee is $1028.31</t>
  </si>
  <si>
    <t>Pilotage fee</t>
  </si>
  <si>
    <t>DO NOT USE THIS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</si>
</sst>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9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22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1"/>
      <color theme="0" tint="-0.04997999966144562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24" borderId="0" xfId="0" applyFill="1" applyAlignment="1">
      <alignment horizontal="center"/>
    </xf>
    <xf numFmtId="0" fontId="46" fillId="24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24" borderId="0" xfId="0" applyFill="1" applyAlignment="1">
      <alignment horizontal="center"/>
    </xf>
    <xf numFmtId="8" fontId="0" fillId="0" borderId="0" xfId="0" applyNumberFormat="1" applyAlignment="1">
      <alignment horizontal="center"/>
    </xf>
    <xf numFmtId="0" fontId="41" fillId="31" borderId="0" xfId="54" applyAlignment="1">
      <alignment horizontal="center"/>
    </xf>
    <xf numFmtId="8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6" fillId="24" borderId="0" xfId="0" applyFont="1" applyFill="1" applyAlignment="1">
      <alignment horizontal="center"/>
    </xf>
    <xf numFmtId="8" fontId="41" fillId="33" borderId="0" xfId="44" applyNumberFormat="1" applyFont="1" applyFill="1" applyAlignment="1">
      <alignment horizontal="center"/>
    </xf>
    <xf numFmtId="0" fontId="50" fillId="22" borderId="0" xfId="0" applyFont="1" applyFill="1" applyAlignment="1">
      <alignment horizontal="center"/>
    </xf>
    <xf numFmtId="0" fontId="41" fillId="34" borderId="0" xfId="54" applyFill="1" applyAlignment="1">
      <alignment horizontal="center"/>
    </xf>
    <xf numFmtId="8" fontId="51" fillId="0" borderId="0" xfId="0" applyNumberFormat="1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 horizontal="left" vertical="center" indent="1"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54" applyFont="1" applyFill="1" applyAlignment="1">
      <alignment horizontal="center"/>
    </xf>
    <xf numFmtId="0" fontId="41" fillId="0" borderId="0" xfId="54" applyFill="1" applyAlignment="1">
      <alignment horizontal="center"/>
    </xf>
    <xf numFmtId="0" fontId="55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0" fontId="56" fillId="0" borderId="0" xfId="0" applyFont="1" applyAlignment="1">
      <alignment/>
    </xf>
    <xf numFmtId="0" fontId="30" fillId="33" borderId="0" xfId="0" applyFont="1" applyFill="1" applyAlignment="1">
      <alignment/>
    </xf>
    <xf numFmtId="0" fontId="57" fillId="0" borderId="0" xfId="0" applyFont="1" applyAlignment="1">
      <alignment/>
    </xf>
    <xf numFmtId="0" fontId="41" fillId="31" borderId="0" xfId="54" applyAlignment="1" applyProtection="1">
      <alignment horizontal="center"/>
      <protection locked="0"/>
    </xf>
    <xf numFmtId="0" fontId="50" fillId="2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8" fontId="41" fillId="33" borderId="0" xfId="44" applyNumberFormat="1" applyFont="1" applyFill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left" vertical="center" indent="1"/>
      <protection/>
    </xf>
    <xf numFmtId="0" fontId="41" fillId="34" borderId="0" xfId="54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8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 indent="1"/>
      <protection/>
    </xf>
    <xf numFmtId="0" fontId="58" fillId="34" borderId="0" xfId="0" applyFont="1" applyFill="1" applyAlignment="1" applyProtection="1">
      <alignment horizontal="center"/>
      <protection/>
    </xf>
    <xf numFmtId="8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14.7109375" style="0" customWidth="1"/>
    <col min="4" max="4" width="14.7109375" style="0" customWidth="1"/>
    <col min="6" max="6" width="14.7109375" style="0" customWidth="1"/>
    <col min="10" max="10" width="12.00390625" style="0" bestFit="1" customWidth="1"/>
    <col min="12" max="12" width="10.8515625" style="0" bestFit="1" customWidth="1"/>
    <col min="14" max="14" width="15.140625" style="0" bestFit="1" customWidth="1"/>
    <col min="16" max="16" width="11.8515625" style="0" bestFit="1" customWidth="1"/>
  </cols>
  <sheetData>
    <row r="1" spans="1:8" ht="18.75">
      <c r="A1" s="24" t="s">
        <v>30</v>
      </c>
      <c r="B1" s="24"/>
      <c r="C1" s="24"/>
      <c r="D1" s="24"/>
      <c r="E1" s="24"/>
      <c r="F1" s="24"/>
      <c r="G1" s="25"/>
      <c r="H1" s="25"/>
    </row>
    <row r="2" spans="3:5" ht="18.75">
      <c r="C2" s="29" t="s">
        <v>33</v>
      </c>
      <c r="D2" s="29"/>
      <c r="E2" s="29"/>
    </row>
    <row r="4" ht="15">
      <c r="A4" s="8" t="s">
        <v>31</v>
      </c>
    </row>
    <row r="5" spans="1:11" ht="21">
      <c r="A5" s="8" t="s">
        <v>44</v>
      </c>
      <c r="B5" s="1"/>
      <c r="C5" s="6"/>
      <c r="D5" s="1"/>
      <c r="E5" s="1"/>
      <c r="F5" s="1"/>
      <c r="G5" s="1"/>
      <c r="H5" s="1"/>
      <c r="J5" s="21"/>
      <c r="K5" s="32"/>
    </row>
    <row r="6" spans="2:8" ht="15">
      <c r="B6" s="1"/>
      <c r="C6" s="1"/>
      <c r="D6" s="1"/>
      <c r="E6" s="1"/>
      <c r="F6" s="1"/>
      <c r="G6" s="1"/>
      <c r="H6" s="1"/>
    </row>
    <row r="7" spans="2:9" ht="15">
      <c r="B7" s="4" t="s">
        <v>0</v>
      </c>
      <c r="C7" s="3"/>
      <c r="D7" s="4" t="s">
        <v>1</v>
      </c>
      <c r="E7" s="1"/>
      <c r="F7" s="5" t="s">
        <v>2</v>
      </c>
      <c r="G7" s="1"/>
      <c r="H7" s="4" t="s">
        <v>3</v>
      </c>
      <c r="I7" s="33"/>
    </row>
    <row r="8" spans="2:9" ht="15">
      <c r="B8" s="35">
        <v>0</v>
      </c>
      <c r="C8" s="1"/>
      <c r="D8" s="35">
        <v>0</v>
      </c>
      <c r="E8" s="1"/>
      <c r="F8" s="35">
        <v>0</v>
      </c>
      <c r="G8" s="1"/>
      <c r="H8" s="2">
        <f>B8*D8/100</f>
        <v>0</v>
      </c>
      <c r="I8" s="33"/>
    </row>
    <row r="9" spans="2:9" ht="15">
      <c r="B9" s="1"/>
      <c r="C9" s="1"/>
      <c r="D9" s="1"/>
      <c r="E9" s="1"/>
      <c r="F9" s="1"/>
      <c r="G9" s="1"/>
      <c r="H9" s="1"/>
      <c r="I9" s="33"/>
    </row>
    <row r="10" spans="2:9" ht="15">
      <c r="B10" s="36" t="s">
        <v>4</v>
      </c>
      <c r="C10" s="37"/>
      <c r="D10" s="36" t="s">
        <v>5</v>
      </c>
      <c r="E10" s="37"/>
      <c r="F10" s="36" t="s">
        <v>6</v>
      </c>
      <c r="G10" s="37"/>
      <c r="H10" s="37"/>
      <c r="I10" s="33"/>
    </row>
    <row r="11" spans="2:9" ht="15">
      <c r="B11" s="47">
        <f>49.11*F8</f>
        <v>0</v>
      </c>
      <c r="C11" s="37"/>
      <c r="D11" s="38">
        <f>SUM(F14:F33)</f>
        <v>0</v>
      </c>
      <c r="E11" s="37"/>
      <c r="F11" s="46">
        <f>B11+D11</f>
        <v>0</v>
      </c>
      <c r="G11" s="37"/>
      <c r="H11" s="37"/>
      <c r="I11" s="33"/>
    </row>
    <row r="12" spans="2:9" ht="15">
      <c r="B12" s="37"/>
      <c r="C12" s="37"/>
      <c r="D12" s="37"/>
      <c r="E12" s="37"/>
      <c r="F12" s="37"/>
      <c r="G12" s="37"/>
      <c r="H12" s="37"/>
      <c r="I12" s="33"/>
    </row>
    <row r="13" spans="2:9" ht="15">
      <c r="B13" s="39" t="s">
        <v>3</v>
      </c>
      <c r="C13" s="40" t="s">
        <v>7</v>
      </c>
      <c r="D13" s="37"/>
      <c r="E13" s="39" t="s">
        <v>8</v>
      </c>
      <c r="F13" s="39" t="s">
        <v>9</v>
      </c>
      <c r="G13" s="39"/>
      <c r="H13" s="39"/>
      <c r="I13" s="33"/>
    </row>
    <row r="14" spans="2:9" ht="15">
      <c r="B14" s="41">
        <f>IF(AND(H8&gt;0,H8&lt;200.5),H8,0)</f>
        <v>0</v>
      </c>
      <c r="C14" s="42" t="s">
        <v>10</v>
      </c>
      <c r="D14" s="37"/>
      <c r="E14" s="43">
        <v>0.29</v>
      </c>
      <c r="F14" s="43">
        <f aca="true" t="shared" si="0" ref="F14:F33">B14*E14</f>
        <v>0</v>
      </c>
      <c r="G14" s="37"/>
      <c r="H14" s="37"/>
      <c r="I14" s="33"/>
    </row>
    <row r="15" spans="2:9" ht="15">
      <c r="B15" s="41">
        <f>IF(AND(H8&gt;200.6,H8&lt;300.5),H8,0)</f>
        <v>0</v>
      </c>
      <c r="C15" s="44" t="s">
        <v>11</v>
      </c>
      <c r="D15" s="37"/>
      <c r="E15" s="43">
        <v>0.29</v>
      </c>
      <c r="F15" s="43">
        <f t="shared" si="0"/>
        <v>0</v>
      </c>
      <c r="G15" s="37"/>
      <c r="H15" s="37"/>
      <c r="I15" s="33"/>
    </row>
    <row r="16" spans="2:9" ht="15">
      <c r="B16" s="41">
        <f>IF(AND(H8&gt;300.6,H8&lt;400.5),H8,0)</f>
        <v>0</v>
      </c>
      <c r="C16" s="44" t="s">
        <v>12</v>
      </c>
      <c r="D16" s="37"/>
      <c r="E16" s="43">
        <v>0.29</v>
      </c>
      <c r="F16" s="43">
        <f t="shared" si="0"/>
        <v>0</v>
      </c>
      <c r="G16" s="37"/>
      <c r="H16" s="37"/>
      <c r="I16" s="33"/>
    </row>
    <row r="17" spans="2:9" ht="15">
      <c r="B17" s="41">
        <f>IF(AND(H8&gt;400.6,H8&lt;500.5),H8,0)</f>
        <v>0</v>
      </c>
      <c r="C17" s="44" t="s">
        <v>13</v>
      </c>
      <c r="D17" s="37"/>
      <c r="E17" s="43">
        <v>0.289</v>
      </c>
      <c r="F17" s="43">
        <f t="shared" si="0"/>
        <v>0</v>
      </c>
      <c r="G17" s="37"/>
      <c r="H17" s="37"/>
      <c r="I17" s="33"/>
    </row>
    <row r="18" spans="2:9" ht="15">
      <c r="B18" s="41">
        <f>IF(AND(H8&gt;500.6,H8&lt;600.5),H8,0)</f>
        <v>0</v>
      </c>
      <c r="C18" s="44" t="s">
        <v>14</v>
      </c>
      <c r="D18" s="37"/>
      <c r="E18" s="43">
        <v>1.2</v>
      </c>
      <c r="F18" s="43">
        <f t="shared" si="0"/>
        <v>0</v>
      </c>
      <c r="G18" s="37"/>
      <c r="H18" s="37"/>
      <c r="I18" s="33"/>
    </row>
    <row r="19" spans="2:9" ht="15">
      <c r="B19" s="41">
        <f>IF(AND(H8&gt;600.6,H8&lt;700.5),H8,0)</f>
        <v>0</v>
      </c>
      <c r="C19" s="44" t="s">
        <v>15</v>
      </c>
      <c r="D19" s="37"/>
      <c r="E19" s="43">
        <v>1.2</v>
      </c>
      <c r="F19" s="43">
        <f t="shared" si="0"/>
        <v>0</v>
      </c>
      <c r="G19" s="37"/>
      <c r="H19" s="37"/>
      <c r="I19" s="33"/>
    </row>
    <row r="20" spans="2:9" ht="15">
      <c r="B20" s="41">
        <f>IF(AND(H8&gt;700.6,H8&lt;800.5),H8,0)</f>
        <v>0</v>
      </c>
      <c r="C20" s="44" t="s">
        <v>16</v>
      </c>
      <c r="D20" s="37"/>
      <c r="E20" s="43">
        <v>1.2</v>
      </c>
      <c r="F20" s="43">
        <f t="shared" si="0"/>
        <v>0</v>
      </c>
      <c r="G20" s="37"/>
      <c r="H20" s="37"/>
      <c r="I20" s="33"/>
    </row>
    <row r="21" spans="2:9" ht="15">
      <c r="B21" s="45">
        <f>IF(AND(H8&gt;800.6,H8&lt;900.5),H8,0)</f>
        <v>0</v>
      </c>
      <c r="C21" s="44" t="s">
        <v>17</v>
      </c>
      <c r="D21" s="37"/>
      <c r="E21" s="43">
        <v>1.2</v>
      </c>
      <c r="F21" s="43">
        <f t="shared" si="0"/>
        <v>0</v>
      </c>
      <c r="G21" s="37"/>
      <c r="H21" s="37"/>
      <c r="I21" s="33"/>
    </row>
    <row r="22" spans="2:9" ht="15">
      <c r="B22" s="41">
        <f>IF(AND(H8&gt;900.6,H8&lt;1000.5),H8,0)</f>
        <v>0</v>
      </c>
      <c r="C22" s="44" t="s">
        <v>18</v>
      </c>
      <c r="D22" s="37"/>
      <c r="E22" s="43">
        <v>1.2</v>
      </c>
      <c r="F22" s="43">
        <f t="shared" si="0"/>
        <v>0</v>
      </c>
      <c r="G22" s="37"/>
      <c r="H22" s="37"/>
      <c r="I22" s="33"/>
    </row>
    <row r="23" spans="2:9" ht="15">
      <c r="B23" s="41">
        <f>IF(AND(H8&gt;1000.6,H8&lt;1050.5),H8,0)</f>
        <v>0</v>
      </c>
      <c r="C23" s="44" t="s">
        <v>19</v>
      </c>
      <c r="D23" s="37"/>
      <c r="E23" s="43">
        <v>2.822</v>
      </c>
      <c r="F23" s="43">
        <f t="shared" si="0"/>
        <v>0</v>
      </c>
      <c r="G23" s="37"/>
      <c r="H23" s="37"/>
      <c r="I23" s="33"/>
    </row>
    <row r="24" spans="2:9" ht="15">
      <c r="B24" s="41">
        <f>IF(AND(H8&gt;1050.6,H8&lt;1100.5),H8,0)</f>
        <v>0</v>
      </c>
      <c r="C24" s="44" t="s">
        <v>20</v>
      </c>
      <c r="D24" s="37"/>
      <c r="E24" s="43">
        <v>2.822</v>
      </c>
      <c r="F24" s="43">
        <f t="shared" si="0"/>
        <v>0</v>
      </c>
      <c r="G24" s="37"/>
      <c r="H24" s="37"/>
      <c r="I24" s="33"/>
    </row>
    <row r="25" spans="2:9" ht="15">
      <c r="B25" s="41">
        <f>IF(AND(H8&gt;1100.6,H8&lt;1150.5),H8,0)</f>
        <v>0</v>
      </c>
      <c r="C25" s="44" t="s">
        <v>21</v>
      </c>
      <c r="D25" s="37"/>
      <c r="E25" s="43">
        <v>2.822</v>
      </c>
      <c r="F25" s="43">
        <f t="shared" si="0"/>
        <v>0</v>
      </c>
      <c r="G25" s="37"/>
      <c r="H25" s="37"/>
      <c r="I25" s="33"/>
    </row>
    <row r="26" spans="2:9" ht="15">
      <c r="B26" s="41">
        <f>IF(AND(H8&gt;1150.6,H8&lt;1200.5),H8,0)</f>
        <v>0</v>
      </c>
      <c r="C26" s="44" t="s">
        <v>22</v>
      </c>
      <c r="D26" s="37"/>
      <c r="E26" s="43">
        <v>2.863</v>
      </c>
      <c r="F26" s="43">
        <f t="shared" si="0"/>
        <v>0</v>
      </c>
      <c r="G26" s="37"/>
      <c r="H26" s="37"/>
      <c r="I26" s="33"/>
    </row>
    <row r="27" spans="2:9" ht="15">
      <c r="B27" s="41">
        <f>IF(AND(H8&gt;1200.6,H8&lt;1250.5),H8,0)</f>
        <v>0</v>
      </c>
      <c r="C27" s="44" t="s">
        <v>23</v>
      </c>
      <c r="D27" s="37"/>
      <c r="E27" s="43">
        <v>2.863</v>
      </c>
      <c r="F27" s="43">
        <f t="shared" si="0"/>
        <v>0</v>
      </c>
      <c r="G27" s="37"/>
      <c r="H27" s="37"/>
      <c r="I27" s="33"/>
    </row>
    <row r="28" spans="2:9" ht="15">
      <c r="B28" s="41">
        <f>IF(AND(H8&gt;1250.6,H8&lt;1300.5),H8,0)</f>
        <v>0</v>
      </c>
      <c r="C28" s="44" t="s">
        <v>24</v>
      </c>
      <c r="D28" s="37"/>
      <c r="E28" s="43">
        <v>2.863</v>
      </c>
      <c r="F28" s="43">
        <f t="shared" si="0"/>
        <v>0</v>
      </c>
      <c r="G28" s="37" t="s">
        <v>37</v>
      </c>
      <c r="H28" s="37"/>
      <c r="I28" s="33"/>
    </row>
    <row r="29" spans="2:9" ht="15">
      <c r="B29" s="41">
        <f>IF(AND(H8&gt;1300.6,H8&lt;1350.5),H8,0)</f>
        <v>0</v>
      </c>
      <c r="C29" s="44" t="s">
        <v>25</v>
      </c>
      <c r="D29" s="37"/>
      <c r="E29" s="43">
        <v>2.863</v>
      </c>
      <c r="F29" s="43">
        <f t="shared" si="0"/>
        <v>0</v>
      </c>
      <c r="G29" s="37"/>
      <c r="H29" s="37"/>
      <c r="I29" s="33"/>
    </row>
    <row r="30" spans="2:9" ht="15">
      <c r="B30" s="41">
        <f>IF(AND(H8&gt;1350.6,H8&lt;1400.5),H8,0)</f>
        <v>0</v>
      </c>
      <c r="C30" s="44" t="s">
        <v>26</v>
      </c>
      <c r="D30" s="37"/>
      <c r="E30" s="43">
        <v>2.863</v>
      </c>
      <c r="F30" s="43">
        <f t="shared" si="0"/>
        <v>0</v>
      </c>
      <c r="G30" s="37"/>
      <c r="H30" s="37"/>
      <c r="I30" s="33"/>
    </row>
    <row r="31" spans="2:9" ht="15">
      <c r="B31" s="41">
        <f>IF(AND(H8&gt;1400.6,H8&lt;1450.5),H8,0)</f>
        <v>0</v>
      </c>
      <c r="C31" s="44" t="s">
        <v>27</v>
      </c>
      <c r="D31" s="37"/>
      <c r="E31" s="43">
        <v>2.863</v>
      </c>
      <c r="F31" s="43">
        <f t="shared" si="0"/>
        <v>0</v>
      </c>
      <c r="G31" s="37"/>
      <c r="H31" s="37"/>
      <c r="I31" s="33"/>
    </row>
    <row r="32" spans="2:9" ht="15">
      <c r="B32" s="41">
        <f>IF(AND(H8&gt;1450.6,H8&lt;1500.5),H8,0)</f>
        <v>0</v>
      </c>
      <c r="C32" s="44" t="s">
        <v>28</v>
      </c>
      <c r="D32" s="37"/>
      <c r="E32" s="43">
        <v>2.863</v>
      </c>
      <c r="F32" s="43">
        <f t="shared" si="0"/>
        <v>0</v>
      </c>
      <c r="G32" s="37"/>
      <c r="H32" s="37"/>
      <c r="I32" s="33"/>
    </row>
    <row r="33" spans="2:9" ht="15">
      <c r="B33" s="41">
        <f>IF(AND(H8&gt;1500.6,H8&lt;1550.5),H8,0)</f>
        <v>0</v>
      </c>
      <c r="C33" s="44" t="s">
        <v>29</v>
      </c>
      <c r="D33" s="37"/>
      <c r="E33" s="43">
        <v>2.863</v>
      </c>
      <c r="F33" s="43">
        <f t="shared" si="0"/>
        <v>0</v>
      </c>
      <c r="G33" s="37"/>
      <c r="H33" s="37"/>
      <c r="I33" s="33"/>
    </row>
    <row r="35" ht="15">
      <c r="A35" s="8" t="s">
        <v>43</v>
      </c>
    </row>
    <row r="36" spans="1:5" ht="15">
      <c r="A36" s="26" t="s">
        <v>38</v>
      </c>
      <c r="B36" s="26"/>
      <c r="C36" s="26"/>
      <c r="D36" s="26"/>
      <c r="E36" s="26"/>
    </row>
    <row r="38" ht="15">
      <c r="A38" s="8" t="s">
        <v>35</v>
      </c>
    </row>
    <row r="40" ht="15">
      <c r="A40" s="8" t="s">
        <v>34</v>
      </c>
    </row>
  </sheetData>
  <sheetProtection sheet="1" selectLockedCells="1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12.00390625" style="0" bestFit="1" customWidth="1"/>
    <col min="4" max="4" width="9.28125" style="0" bestFit="1" customWidth="1"/>
    <col min="6" max="6" width="15.140625" style="0" bestFit="1" customWidth="1"/>
  </cols>
  <sheetData>
    <row r="1" spans="1:10" ht="18.75">
      <c r="A1" s="24" t="s">
        <v>30</v>
      </c>
      <c r="B1" s="24"/>
      <c r="C1" s="24"/>
      <c r="D1" s="24"/>
      <c r="E1" s="24"/>
      <c r="F1" s="24"/>
      <c r="G1" s="25"/>
      <c r="H1" s="25"/>
      <c r="I1" s="8"/>
      <c r="J1" s="8"/>
    </row>
    <row r="2" spans="1:10" ht="18.75">
      <c r="A2" s="8"/>
      <c r="C2" s="29" t="s">
        <v>32</v>
      </c>
      <c r="D2" s="29"/>
      <c r="E2" s="15"/>
      <c r="F2" s="8"/>
      <c r="G2" s="8"/>
      <c r="H2" s="8"/>
      <c r="I2" s="8"/>
      <c r="J2" s="8"/>
    </row>
    <row r="4" spans="1:10" ht="15">
      <c r="A4" s="8" t="s">
        <v>31</v>
      </c>
      <c r="B4" s="8"/>
      <c r="C4" s="8"/>
      <c r="D4" s="8"/>
      <c r="E4" s="8"/>
      <c r="F4" s="8"/>
      <c r="G4" s="8"/>
      <c r="H4" s="8"/>
      <c r="I4" s="8"/>
      <c r="J4" s="8"/>
    </row>
    <row r="5" spans="1:10" ht="21">
      <c r="A5" s="8" t="s">
        <v>39</v>
      </c>
      <c r="B5" s="8"/>
      <c r="C5" s="22"/>
      <c r="D5" s="8"/>
      <c r="E5" s="8"/>
      <c r="F5" s="8"/>
      <c r="G5" s="8"/>
      <c r="H5" s="8"/>
      <c r="I5" s="8"/>
      <c r="J5" s="21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11" t="s">
        <v>0</v>
      </c>
      <c r="C7" s="10"/>
      <c r="D7" s="11" t="s">
        <v>1</v>
      </c>
      <c r="E7" s="8"/>
      <c r="F7" s="17" t="s">
        <v>2</v>
      </c>
      <c r="G7" s="8"/>
      <c r="H7" s="11" t="s">
        <v>3</v>
      </c>
      <c r="I7" s="8"/>
      <c r="J7" s="8"/>
    </row>
    <row r="8" spans="1:10" ht="15">
      <c r="A8" s="8"/>
      <c r="B8" s="13">
        <v>0</v>
      </c>
      <c r="C8" s="8"/>
      <c r="D8" s="13">
        <v>0</v>
      </c>
      <c r="E8" s="8"/>
      <c r="F8" s="13">
        <v>0</v>
      </c>
      <c r="G8" s="8"/>
      <c r="H8" s="9">
        <f>B8*D8/100</f>
        <v>0</v>
      </c>
      <c r="I8" s="8"/>
      <c r="J8" s="8"/>
    </row>
    <row r="9" spans="1:10" ht="1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8"/>
      <c r="B10" s="19" t="s">
        <v>4</v>
      </c>
      <c r="C10" s="8"/>
      <c r="D10" s="19" t="s">
        <v>5</v>
      </c>
      <c r="E10" s="8"/>
      <c r="F10" s="19" t="s">
        <v>6</v>
      </c>
      <c r="G10" s="8"/>
      <c r="H10" s="8"/>
      <c r="I10" s="8"/>
      <c r="J10" s="8"/>
    </row>
    <row r="11" spans="1:10" ht="18.75">
      <c r="A11" s="8"/>
      <c r="B11" s="14">
        <f>35.97*F8</f>
        <v>0</v>
      </c>
      <c r="C11" s="8"/>
      <c r="D11" s="18">
        <f>SUM(F14:F32)</f>
        <v>0</v>
      </c>
      <c r="E11" s="8"/>
      <c r="F11" s="21">
        <f>B11+D11</f>
        <v>0</v>
      </c>
      <c r="G11" s="8"/>
      <c r="H11" s="8"/>
      <c r="I11" s="8"/>
      <c r="J11" s="8"/>
    </row>
    <row r="12" spans="1:10" ht="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2:10" ht="15">
      <c r="B13" s="16" t="s">
        <v>3</v>
      </c>
      <c r="C13" s="30" t="s">
        <v>7</v>
      </c>
      <c r="D13" s="8"/>
      <c r="E13" s="16" t="s">
        <v>8</v>
      </c>
      <c r="F13" s="16" t="s">
        <v>9</v>
      </c>
      <c r="H13" s="16"/>
      <c r="I13" s="8"/>
      <c r="J13" s="8"/>
    </row>
    <row r="14" spans="1:10" ht="15">
      <c r="A14" s="8"/>
      <c r="B14" s="20">
        <f>IF(AND(H8&gt;0,H8&lt;200.5),H8,0)</f>
        <v>0</v>
      </c>
      <c r="C14" s="9" t="s">
        <v>10</v>
      </c>
      <c r="D14" s="8"/>
      <c r="E14" s="12">
        <v>0.137</v>
      </c>
      <c r="F14" s="12">
        <f>B14*E14</f>
        <v>0</v>
      </c>
      <c r="G14" s="8"/>
      <c r="H14" s="8"/>
      <c r="I14" s="8"/>
      <c r="J14" s="8"/>
    </row>
    <row r="15" spans="1:10" ht="15">
      <c r="A15" s="8"/>
      <c r="B15" s="20">
        <f>IF(AND(H8&gt;200.6,H8&lt;300.5),H8,0)</f>
        <v>0</v>
      </c>
      <c r="C15" s="9" t="s">
        <v>11</v>
      </c>
      <c r="D15" s="8"/>
      <c r="E15" s="12">
        <v>0.236</v>
      </c>
      <c r="F15" s="12">
        <f>B15*E15</f>
        <v>0</v>
      </c>
      <c r="G15" s="8"/>
      <c r="H15" s="8"/>
      <c r="I15" s="8"/>
      <c r="J15" s="8"/>
    </row>
    <row r="16" spans="1:10" ht="15">
      <c r="A16" s="8"/>
      <c r="B16" s="20">
        <f>IF(AND(H8&gt;300.6,H8&lt;400.5),H8,0)</f>
        <v>0</v>
      </c>
      <c r="C16" s="9" t="s">
        <v>12</v>
      </c>
      <c r="D16" s="8"/>
      <c r="E16" s="12">
        <v>0.368</v>
      </c>
      <c r="F16" s="12">
        <f>B16*E16</f>
        <v>0</v>
      </c>
      <c r="G16" s="8"/>
      <c r="H16" s="8"/>
      <c r="I16" s="8"/>
      <c r="J16" s="8"/>
    </row>
    <row r="17" spans="1:10" ht="15">
      <c r="A17" s="8"/>
      <c r="B17" s="20">
        <f>IF(AND(H8&gt;400.6,H8&lt;500.5),H8,0)</f>
        <v>0</v>
      </c>
      <c r="C17" s="9" t="s">
        <v>13</v>
      </c>
      <c r="D17" s="8"/>
      <c r="E17" s="12">
        <v>0.506</v>
      </c>
      <c r="F17" s="12">
        <f>B17*E17</f>
        <v>0</v>
      </c>
      <c r="G17" s="8"/>
      <c r="H17" s="8"/>
      <c r="I17" s="8"/>
      <c r="J17" s="8"/>
    </row>
    <row r="18" spans="1:10" ht="15">
      <c r="A18" s="8"/>
      <c r="B18" s="20">
        <f>IF(AND(H8&gt;500.6,H8&lt;600.5),H8,0)</f>
        <v>0</v>
      </c>
      <c r="C18" s="9" t="s">
        <v>14</v>
      </c>
      <c r="D18" s="8"/>
      <c r="E18" s="12">
        <v>0.657</v>
      </c>
      <c r="F18" s="12">
        <f>B18*E18</f>
        <v>0</v>
      </c>
      <c r="G18" s="8"/>
      <c r="H18" s="8"/>
      <c r="I18" s="8"/>
      <c r="J18" s="8"/>
    </row>
    <row r="19" spans="7:10" ht="15">
      <c r="G19" s="26"/>
      <c r="H19" s="8"/>
      <c r="I19" s="8"/>
      <c r="J19" s="8"/>
    </row>
    <row r="20" spans="1:10" ht="15">
      <c r="A20" s="8"/>
      <c r="B20" s="27"/>
      <c r="C20" s="7"/>
      <c r="D20" s="8"/>
      <c r="E20" s="12"/>
      <c r="F20" s="12"/>
      <c r="G20" s="8"/>
      <c r="H20" s="8"/>
      <c r="I20" s="8"/>
      <c r="J20" s="8"/>
    </row>
    <row r="21" spans="1:10" ht="15">
      <c r="A21" s="26" t="s">
        <v>36</v>
      </c>
      <c r="B21" s="26"/>
      <c r="C21" s="26"/>
      <c r="D21" s="26"/>
      <c r="E21" s="26"/>
      <c r="F21" s="26"/>
      <c r="G21" s="8"/>
      <c r="H21" s="8"/>
      <c r="I21" s="8"/>
      <c r="J21" s="8"/>
    </row>
    <row r="22" spans="1:10" ht="15">
      <c r="A22" s="8"/>
      <c r="B22" s="28"/>
      <c r="C22" s="7"/>
      <c r="D22" s="8"/>
      <c r="E22" s="12"/>
      <c r="F22" s="12"/>
      <c r="G22" s="8"/>
      <c r="H22" s="8"/>
      <c r="I22" s="8"/>
      <c r="J22" s="8"/>
    </row>
    <row r="23" spans="1:10" ht="15">
      <c r="A23" s="8"/>
      <c r="B23" s="28"/>
      <c r="C23" s="7"/>
      <c r="D23" s="8"/>
      <c r="E23" s="12"/>
      <c r="F23" s="12"/>
      <c r="G23" s="8"/>
      <c r="H23" s="8"/>
      <c r="I23" s="8"/>
      <c r="J23" s="8"/>
    </row>
    <row r="24" spans="1:10" ht="15">
      <c r="A24" s="8"/>
      <c r="B24" s="28"/>
      <c r="C24" s="7"/>
      <c r="D24" s="8"/>
      <c r="E24" s="12"/>
      <c r="F24" s="12"/>
      <c r="G24" s="8"/>
      <c r="H24" s="8"/>
      <c r="I24" s="8"/>
      <c r="J24" s="8"/>
    </row>
    <row r="25" spans="1:10" ht="15">
      <c r="A25" s="8"/>
      <c r="B25" s="28"/>
      <c r="C25" s="7"/>
      <c r="D25" s="8"/>
      <c r="E25" s="12"/>
      <c r="F25" s="12"/>
      <c r="G25" s="8"/>
      <c r="H25" s="8"/>
      <c r="I25" s="8"/>
      <c r="J25" s="8"/>
    </row>
    <row r="26" spans="1:10" ht="15">
      <c r="A26" s="8"/>
      <c r="B26" s="28"/>
      <c r="C26" s="7"/>
      <c r="D26" s="8"/>
      <c r="E26" s="12"/>
      <c r="F26" s="12"/>
      <c r="G26" s="8"/>
      <c r="H26" s="8"/>
      <c r="I26" s="8"/>
      <c r="J26" s="8"/>
    </row>
    <row r="27" spans="1:10" ht="15">
      <c r="A27" s="8"/>
      <c r="B27" s="28"/>
      <c r="C27" s="7"/>
      <c r="D27" s="8"/>
      <c r="E27" s="12"/>
      <c r="F27" s="12"/>
      <c r="G27" s="8"/>
      <c r="H27" s="8"/>
      <c r="I27" s="8"/>
      <c r="J27" s="8"/>
    </row>
    <row r="28" spans="1:10" ht="15">
      <c r="A28" s="8"/>
      <c r="B28" s="28"/>
      <c r="C28" s="7"/>
      <c r="D28" s="8"/>
      <c r="E28" s="12"/>
      <c r="F28" s="12"/>
      <c r="G28" s="8"/>
      <c r="H28" s="8"/>
      <c r="I28" s="8"/>
      <c r="J28" s="8"/>
    </row>
    <row r="29" spans="1:10" ht="15">
      <c r="A29" s="8"/>
      <c r="B29" s="28"/>
      <c r="C29" s="7"/>
      <c r="D29" s="8"/>
      <c r="E29" s="12"/>
      <c r="F29" s="12"/>
      <c r="G29" s="8"/>
      <c r="H29" s="8"/>
      <c r="I29" s="8"/>
      <c r="J29" s="8"/>
    </row>
    <row r="30" spans="1:10" ht="15">
      <c r="A30" s="8"/>
      <c r="B30" s="28"/>
      <c r="C30" s="7"/>
      <c r="D30" s="8"/>
      <c r="E30" s="12"/>
      <c r="F30" s="12"/>
      <c r="G30" s="8"/>
      <c r="H30" s="8"/>
      <c r="I30" s="8"/>
      <c r="J30" s="8"/>
    </row>
    <row r="31" spans="1:10" ht="15">
      <c r="A31" s="8"/>
      <c r="B31" s="28"/>
      <c r="C31" s="7"/>
      <c r="D31" s="8"/>
      <c r="E31" s="12"/>
      <c r="F31" s="12"/>
      <c r="G31" s="8"/>
      <c r="H31" s="8"/>
      <c r="I31" s="8"/>
      <c r="J31" s="8"/>
    </row>
    <row r="32" spans="1:10" ht="15">
      <c r="A32" s="8"/>
      <c r="B32" s="28"/>
      <c r="C32" s="7"/>
      <c r="D32" s="8"/>
      <c r="E32" s="12"/>
      <c r="F32" s="12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26"/>
      <c r="B35" s="26"/>
      <c r="C35" s="26"/>
      <c r="D35" s="26"/>
      <c r="E35" s="26"/>
      <c r="F35" s="8"/>
      <c r="G35" s="8"/>
      <c r="H35" s="8"/>
      <c r="I35" s="8"/>
      <c r="J35" s="8"/>
    </row>
    <row r="36" spans="1:10" ht="15">
      <c r="A36" s="26"/>
      <c r="B36" s="26"/>
      <c r="C36" s="26"/>
      <c r="D36" s="26"/>
      <c r="E36" s="8"/>
      <c r="F36" s="8"/>
      <c r="G36" s="8"/>
      <c r="H36" s="8"/>
      <c r="I36" s="8"/>
      <c r="J36" s="8"/>
    </row>
    <row r="37" spans="8:10" ht="15">
      <c r="H37" s="26"/>
      <c r="I37" s="8"/>
      <c r="J37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B25" sqref="B25"/>
    </sheetView>
  </sheetViews>
  <sheetFormatPr defaultColWidth="9.140625" defaultRowHeight="15"/>
  <sheetData>
    <row r="2" spans="2:4" ht="21">
      <c r="B2" s="34" t="s">
        <v>46</v>
      </c>
      <c r="C2" s="34"/>
      <c r="D2" s="34"/>
    </row>
    <row r="5" spans="1:7" ht="15">
      <c r="A5" s="11" t="s">
        <v>0</v>
      </c>
      <c r="B5" s="10"/>
      <c r="C5" s="11" t="s">
        <v>1</v>
      </c>
      <c r="D5" s="8"/>
      <c r="E5" s="17" t="s">
        <v>2</v>
      </c>
      <c r="F5" s="8"/>
      <c r="G5" s="11" t="s">
        <v>3</v>
      </c>
    </row>
    <row r="6" spans="1:7" ht="15">
      <c r="A6" s="13">
        <v>460</v>
      </c>
      <c r="B6" s="8"/>
      <c r="C6" s="13">
        <v>110</v>
      </c>
      <c r="D6" s="8"/>
      <c r="E6" s="13">
        <v>20</v>
      </c>
      <c r="F6" s="8"/>
      <c r="G6" s="9">
        <f>A6*C6/100</f>
        <v>506</v>
      </c>
    </row>
    <row r="7" spans="1:7" ht="15">
      <c r="A7" s="8"/>
      <c r="B7" s="8"/>
      <c r="C7" s="8"/>
      <c r="D7" s="8"/>
      <c r="E7" s="8"/>
      <c r="F7" s="8"/>
      <c r="G7" s="8"/>
    </row>
    <row r="8" spans="1:7" ht="15">
      <c r="A8" s="19" t="s">
        <v>4</v>
      </c>
      <c r="B8" s="8"/>
      <c r="C8" s="19" t="s">
        <v>5</v>
      </c>
      <c r="D8" s="8"/>
      <c r="E8" s="19" t="s">
        <v>6</v>
      </c>
      <c r="F8" s="8"/>
      <c r="G8" s="8"/>
    </row>
    <row r="9" spans="1:7" ht="18.75">
      <c r="A9" s="14">
        <f>67.269*E6</f>
        <v>1345.38</v>
      </c>
      <c r="B9" s="8"/>
      <c r="C9" s="18">
        <f>SUM(E12:E14)</f>
        <v>854.1279999999999</v>
      </c>
      <c r="D9" s="8"/>
      <c r="E9" s="21">
        <f>A9+C9</f>
        <v>2199.508</v>
      </c>
      <c r="F9" s="8"/>
      <c r="G9" s="8"/>
    </row>
    <row r="10" spans="1:7" ht="15">
      <c r="A10" s="8"/>
      <c r="B10" s="8"/>
      <c r="C10" s="8"/>
      <c r="D10" s="8"/>
      <c r="E10" s="8"/>
      <c r="F10" s="8"/>
      <c r="G10" s="8"/>
    </row>
    <row r="11" spans="1:7" ht="15">
      <c r="A11" s="16" t="s">
        <v>3</v>
      </c>
      <c r="B11" s="23" t="s">
        <v>7</v>
      </c>
      <c r="C11" s="8"/>
      <c r="D11" s="16" t="s">
        <v>8</v>
      </c>
      <c r="E11" s="16" t="s">
        <v>9</v>
      </c>
      <c r="F11" s="16"/>
      <c r="G11" s="16" t="s">
        <v>45</v>
      </c>
    </row>
    <row r="12" spans="1:7" ht="15">
      <c r="A12" s="20">
        <f>IF(AND(G6&gt;0,G6&lt;500.5),G6,0)</f>
        <v>0</v>
      </c>
      <c r="B12" s="7" t="s">
        <v>40</v>
      </c>
      <c r="C12" s="8"/>
      <c r="D12" s="12">
        <v>0</v>
      </c>
      <c r="E12" s="12">
        <f>A12*D12</f>
        <v>0</v>
      </c>
      <c r="F12" s="8"/>
      <c r="G12" s="31">
        <f>E6*56.329+E12</f>
        <v>1126.58</v>
      </c>
    </row>
    <row r="13" spans="1:7" ht="15">
      <c r="A13" s="20">
        <f>IF(AND(G6&gt;500.6,G6&lt;1000.5),G6,0)</f>
        <v>506</v>
      </c>
      <c r="B13" s="7" t="s">
        <v>41</v>
      </c>
      <c r="C13" s="8"/>
      <c r="D13" s="12">
        <v>1.688</v>
      </c>
      <c r="E13" s="12">
        <f>A13*D13</f>
        <v>854.1279999999999</v>
      </c>
      <c r="F13" s="8"/>
      <c r="G13" s="31">
        <f>E6*67.269+E13</f>
        <v>2199.508</v>
      </c>
    </row>
    <row r="14" spans="1:7" ht="15">
      <c r="A14" s="20">
        <f>IF(AND(G6&gt;1000.6,G6&lt;2000.5),G6,0)</f>
        <v>0</v>
      </c>
      <c r="B14" s="7" t="s">
        <v>42</v>
      </c>
      <c r="C14" s="8"/>
      <c r="D14" s="12">
        <v>3.684</v>
      </c>
      <c r="E14" s="12">
        <f>A14*D14</f>
        <v>0</v>
      </c>
      <c r="F14" s="8"/>
      <c r="G14" s="31">
        <f>E6*77.297+E14</f>
        <v>1545.94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Captain</dc:creator>
  <cp:keywords/>
  <dc:description/>
  <cp:lastModifiedBy>Michelle Hammonds</cp:lastModifiedBy>
  <dcterms:created xsi:type="dcterms:W3CDTF">2011-05-05T13:24:26Z</dcterms:created>
  <dcterms:modified xsi:type="dcterms:W3CDTF">2011-06-01T23:13:53Z</dcterms:modified>
  <cp:category/>
  <cp:version/>
  <cp:contentType/>
  <cp:contentStatus/>
</cp:coreProperties>
</file>